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KOGUI\AUDITORIA EKOGUI 01-19-20\"/>
    </mc:Choice>
  </mc:AlternateContent>
  <xr:revisionPtr revIDLastSave="0" documentId="8_{3A369AEB-49AD-48B8-BB82-57121E50DFF0}" xr6:coauthVersionLast="45" xr6:coauthVersionMax="45" xr10:uidLastSave="{00000000-0000-0000-0000-000000000000}"/>
  <bookViews>
    <workbookView xWindow="-120" yWindow="-120" windowWidth="20730" windowHeight="11160" firstSheet="2" activeTab="7" xr2:uid="{82CB4D4E-A42E-495E-9914-86978916F165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Hoja1" sheetId="13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5" l="1"/>
  <c r="F15" i="5"/>
  <c r="F10" i="5"/>
  <c r="C20" i="5"/>
  <c r="C18" i="5"/>
  <c r="C17" i="5"/>
  <c r="T13" i="10"/>
  <c r="T12" i="10"/>
  <c r="W3" i="8"/>
  <c r="C25" i="8" s="1"/>
  <c r="T14" i="10" l="1"/>
  <c r="F13" i="5" s="1"/>
  <c r="V2" i="9"/>
  <c r="V3" i="9" s="1"/>
  <c r="V3" i="7"/>
  <c r="G11" i="1"/>
  <c r="G12" i="1"/>
  <c r="G13" i="1"/>
  <c r="G14" i="1"/>
  <c r="G15" i="1"/>
  <c r="G10" i="1"/>
  <c r="F11" i="5" l="1"/>
  <c r="F9" i="9"/>
  <c r="C13" i="5"/>
  <c r="C12" i="5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4" i="5"/>
  <c r="F9" i="5"/>
  <c r="F8" i="5"/>
  <c r="C15" i="5"/>
  <c r="C16" i="5"/>
  <c r="C19" i="5" s="1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V3" i="11" l="1"/>
  <c r="V3" i="10"/>
  <c r="F7" i="7" l="1"/>
</calcChain>
</file>

<file path=xl/sharedStrings.xml><?xml version="1.0" encoding="utf-8"?>
<sst xmlns="http://schemas.openxmlformats.org/spreadsheetml/2006/main" count="225" uniqueCount="156">
  <si>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</si>
  <si>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</si>
  <si>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</si>
  <si>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</si>
  <si>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</si>
  <si>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</si>
  <si>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</si>
  <si>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</si>
  <si>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</si>
  <si>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</si>
  <si>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</si>
  <si>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</si>
  <si>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</si>
  <si>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</si>
  <si>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</si>
  <si>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</si>
  <si>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</si>
  <si>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</si>
  <si>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</si>
  <si>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</si>
  <si>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</si>
  <si>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</si>
  <si>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</si>
  <si>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</si>
  <si>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</si>
  <si>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</si>
  <si>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</si>
  <si>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</si>
  <si>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</si>
  <si>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</si>
  <si>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</si>
  <si>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</si>
  <si>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</si>
  <si>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</si>
  <si>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</si>
  <si>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</si>
  <si>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</si>
  <si>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</si>
  <si>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</si>
  <si>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</si>
  <si>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</si>
  <si>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</si>
  <si>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</si>
  <si>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</si>
  <si>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</si>
  <si>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</si>
  <si>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</si>
  <si>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</si>
  <si>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</si>
  <si>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</si>
  <si>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</si>
  <si>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</si>
  <si>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</si>
  <si>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</si>
  <si>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</si>
  <si>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</si>
  <si>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</si>
  <si>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</si>
  <si>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</si>
  <si>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</si>
  <si>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</si>
  <si>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</si>
  <si>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</si>
  <si>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</si>
  <si>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</si>
  <si>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</si>
  <si>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</si>
  <si>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</si>
  <si>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</si>
  <si>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</si>
  <si>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</si>
  <si>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</si>
  <si>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</si>
  <si>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</si>
  <si>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</si>
  <si>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</si>
  <si>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</si>
  <si>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</si>
  <si>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</si>
  <si>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</si>
  <si>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</si>
  <si>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</si>
  <si>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</si>
  <si>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</si>
  <si>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</si>
  <si>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</si>
  <si>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</si>
  <si>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</si>
  <si>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DESDE ABRIL 1 2020</t>
  </si>
  <si>
    <t>REGISTRO ENTRE 1 ENERO Y 31 MARZO 2020</t>
  </si>
  <si>
    <t>REGISTRO EN 2019 Y ANTERIORES</t>
  </si>
  <si>
    <t>ACTUALIZADO</t>
  </si>
  <si>
    <t>Entre 21-03-2019 y 31-12-2019</t>
  </si>
  <si>
    <t>PROCESOS SIN ABOGADO ASIGNADO(1)</t>
  </si>
  <si>
    <t>(1)Anteriores a 15 de junio</t>
  </si>
  <si>
    <t>(2) Con fecha de actuación en 2020</t>
  </si>
  <si>
    <t>PROCESOS ACTIVOS CON ESTADO TERMINADO(3)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</si>
  <si>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</si>
  <si>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</si>
  <si>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</si>
  <si>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</si>
  <si>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</si>
  <si>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</si>
  <si>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</si>
  <si>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</si>
  <si>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</si>
  <si>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</si>
  <si>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</si>
  <si>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</si>
  <si>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</si>
  <si>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</si>
  <si>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</si>
  <si>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</si>
  <si>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</si>
  <si>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</si>
  <si>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PROCESOS ACTIVOS AL 30 DE JUNIO DE 2020</t>
  </si>
  <si>
    <t>PROCESOS TERMINADOS PRIMER SEMESTRE 2020</t>
  </si>
  <si>
    <t xml:space="preserve">PROCESO TERMINADOS AL 30 DE JUNIO 2020 </t>
  </si>
  <si>
    <r>
      <t>(3)En el reporte de activos al 30 de junio de 2020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</si>
  <si>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Capacitaciones anteriores al 21-03-2019</t>
  </si>
  <si>
    <t>Abogados al 30 de junio de 2020</t>
  </si>
  <si>
    <t>ABOGADOS ACTIVOS AL 30-06-2020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</si>
  <si>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</si>
  <si>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</si>
  <si>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</si>
  <si>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</si>
  <si>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USUARIOS AL 30 DE JUNIO DE 2020</t>
  </si>
  <si>
    <t>PROCESOS CON CALIFICACIÓN  PRIMER SEMESTRE 2020</t>
  </si>
  <si>
    <t>PROCESOS ACTIVOS EN CALIDAD DEMANDADO AL 30-06-2020</t>
  </si>
  <si>
    <t>PROVISIÓN CONTABLE (6)</t>
  </si>
  <si>
    <t>(6) Solo se consideran los procesos activos - calidad demandado al 30 de junio de 2020 que tengan calificación de riesgo</t>
  </si>
  <si>
    <t>PREJUDICIALES ACTIVOS AL 30-06-2020</t>
  </si>
  <si>
    <t>PREJUDICIALES TERMINADOS PRIMER SEMESTRE 2020</t>
  </si>
  <si>
    <t>TOTAL PREJUDICIALES TERMINADOS I SEM. 2020</t>
  </si>
  <si>
    <t>TERMINADOS ÚLTIMA ACTUACIÓN I SEM. 2020</t>
  </si>
  <si>
    <t>ARBITRAMENTOS ACTIVOS AL 30-06-2020</t>
  </si>
  <si>
    <t>TOTAL ARBITRAMENTOS TERMINADOS  AL 30-06-2020</t>
  </si>
  <si>
    <t>Pagos enlazados al 30-06-2020</t>
  </si>
  <si>
    <t>PROCESOS TERMINADOS DURANTE PRIMER SEMESTRE 2020</t>
  </si>
  <si>
    <t>TERMINADOS EN EKOGUI DURANTE PRIMER SEMESTRE 2020 (2)</t>
  </si>
  <si>
    <t>MAYORES A 33.000 SMMLV(4) ACTIVOS</t>
  </si>
  <si>
    <t>ÚLTIMA CAPACITACIÓN ABOGADOS ACTIVOS</t>
  </si>
  <si>
    <t>No Aplica</t>
  </si>
  <si>
    <t>alexandra katherine Galvis Mosquera</t>
  </si>
  <si>
    <t>Camilo Andrés García Gil</t>
  </si>
  <si>
    <t>Sonia Maritza Machado Cruz</t>
  </si>
  <si>
    <t>Claudia María Alvarez Uribe</t>
  </si>
  <si>
    <t>Adriana Aldana Nieto</t>
  </si>
  <si>
    <t>El rol enlaces de pagos fue creado el 10/09/2020 - El rol de secretario técnico fue actualizado el 24/07/2020 por María Gladys Silva Paredes. La última capacitación de los roles Jefe Oficina Asesora Jurídica y Administrador del sistema fue el 09/09/2020 (no se aportaron certificaciones). Para el rol de Jefe Control Interno la última capacitación fue el 07/09/2020.</t>
  </si>
  <si>
    <t>En dos (2) de los ocho procesos sin calificación del riesgo, no han contestado la demanda y uno la contestación fue en julio de 2020.</t>
  </si>
  <si>
    <t xml:space="preserve">El área jurídica no aportó reportes y/o planillas de asistecia de la capacitación de los Abogados. No se evidenció que el Administrador del sistema haya dictado la capacitación a los Abogados. </t>
  </si>
  <si>
    <t>Se tomo muestra de dos (2) conciliaciones registradas antes del 31 de marzo del 2020, y cuatro registrados del 2019 .</t>
  </si>
  <si>
    <t>La sentencia Judicial de la Acción Popular 130011233100020000000600 no ordeno cancelar una suma de dinero sino que dispuso una obligación de hacer.</t>
  </si>
  <si>
    <t>UNIDAD ADMINISTRATIVA ESPECIAL DE AERONAUTICA CIVIL</t>
  </si>
  <si>
    <t>SONIA MARITZA MACHADO CRUZ</t>
  </si>
  <si>
    <t>Se evidencia el mejoramiento en el registro del sistema. Sin embargo se suscriben acciones de mejora para logra el cumplimiento de gestión al 100% en el  sitema eKOGUI.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</si>
</sst>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2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0" fillId="2" borderId="21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4186-77E3-45B0-8449-08E3DB3EF46E}">
  <dimension ref="B1:O18"/>
  <sheetViews>
    <sheetView showGridLines="0" workbookViewId="0">
      <selection activeCell="I17" sqref="I17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5" t="s">
        <v>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2:15" ht="23.25" x14ac:dyDescent="0.35">
      <c r="B4" s="85" t="s">
        <v>11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8" t="s">
        <v>106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7"/>
    </row>
    <row r="7" spans="2:15" x14ac:dyDescent="0.25">
      <c r="B7" s="5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3C2F-3C45-4C74-9A68-80D688B33CFB}">
  <dimension ref="A2:AO3"/>
  <sheetViews>
    <sheetView workbookViewId="0">
      <selection activeCell="B3" sqref="B3"/>
    </sheetView>
  </sheetViews>
  <sheetFormatPr baseColWidth="10" defaultRowHeight="15" x14ac:dyDescent="0.25"/>
  <sheetData>
    <row r="2" spans="1:4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29</v>
      </c>
      <c r="H2" t="s">
        <v>30</v>
      </c>
      <c r="I2" t="s">
        <v>31</v>
      </c>
      <c r="J2" t="s">
        <v>65</v>
      </c>
      <c r="K2" t="s">
        <v>64</v>
      </c>
      <c r="L2" t="s">
        <v>38</v>
      </c>
      <c r="M2" t="s">
        <v>66</v>
      </c>
      <c r="N2" t="s">
        <v>28</v>
      </c>
      <c r="O2" t="s">
        <v>68</v>
      </c>
      <c r="P2" t="s">
        <v>67</v>
      </c>
      <c r="Q2" t="s">
        <v>36</v>
      </c>
      <c r="R2" t="s">
        <v>69</v>
      </c>
      <c r="S2" t="s">
        <v>70</v>
      </c>
      <c r="T2" t="s">
        <v>37</v>
      </c>
      <c r="U2" t="s">
        <v>71</v>
      </c>
      <c r="V2" t="s">
        <v>72</v>
      </c>
      <c r="W2" t="s">
        <v>73</v>
      </c>
      <c r="X2" t="s">
        <v>74</v>
      </c>
      <c r="Y2" t="s">
        <v>71</v>
      </c>
      <c r="Z2" t="s">
        <v>72</v>
      </c>
      <c r="AA2" t="s">
        <v>73</v>
      </c>
      <c r="AB2" t="s">
        <v>74</v>
      </c>
      <c r="AC2" t="s">
        <v>57</v>
      </c>
      <c r="AD2" t="s">
        <v>59</v>
      </c>
      <c r="AE2" t="s">
        <v>54</v>
      </c>
      <c r="AF2" t="s">
        <v>55</v>
      </c>
      <c r="AG2" t="s">
        <v>56</v>
      </c>
      <c r="AH2" t="s">
        <v>60</v>
      </c>
      <c r="AI2" t="s">
        <v>77</v>
      </c>
      <c r="AJ2" t="s">
        <v>62</v>
      </c>
      <c r="AK2" t="s">
        <v>63</v>
      </c>
      <c r="AL2" t="s">
        <v>79</v>
      </c>
      <c r="AM2" t="s">
        <v>80</v>
      </c>
      <c r="AN2" s="15" t="s">
        <v>82</v>
      </c>
      <c r="AO2" s="15" t="s">
        <v>83</v>
      </c>
    </row>
    <row r="3" spans="1:41" x14ac:dyDescent="0.25">
      <c r="A3" t="str">
        <f>+USUARIOS!C10</f>
        <v>Si</v>
      </c>
      <c r="B3" t="str">
        <f>+USUARIOS!C11</f>
        <v>Si</v>
      </c>
      <c r="C3" t="str">
        <f>+USUARIOS!C12</f>
        <v>Si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471</v>
      </c>
      <c r="H3">
        <f>+JUDICIALES!D10</f>
        <v>470</v>
      </c>
      <c r="I3">
        <f>+JUDICIALES!D11</f>
        <v>0</v>
      </c>
      <c r="J3">
        <f>+JUDICIALES!D15</f>
        <v>19</v>
      </c>
      <c r="K3">
        <f>+JUDICIALES!D16</f>
        <v>19</v>
      </c>
      <c r="L3">
        <f>+JUDICIALES!D20</f>
        <v>699</v>
      </c>
      <c r="M3">
        <f>+JUDICIALES!D21</f>
        <v>23</v>
      </c>
      <c r="N3">
        <f>+JUDICIALES!G9</f>
        <v>12</v>
      </c>
      <c r="O3">
        <f>+JUDICIALES!G10</f>
        <v>12</v>
      </c>
      <c r="P3">
        <f>+JUDICIALES!G11</f>
        <v>8</v>
      </c>
      <c r="Q3">
        <f>+JUDICIALES!G15</f>
        <v>322</v>
      </c>
      <c r="R3">
        <f>+JUDICIALES!G16</f>
        <v>163</v>
      </c>
      <c r="S3">
        <f>+JUDICIALES!G17</f>
        <v>151</v>
      </c>
      <c r="T3">
        <f>+JUDICIALES!G18</f>
        <v>8</v>
      </c>
      <c r="U3">
        <f>+JUDICIALES!G21</f>
        <v>84</v>
      </c>
      <c r="V3">
        <f>+JUDICIALES!G22</f>
        <v>176</v>
      </c>
      <c r="W3">
        <f>+JUDICIALES!G23</f>
        <v>23</v>
      </c>
      <c r="X3">
        <f>+JUDICIALES!G24</f>
        <v>31</v>
      </c>
      <c r="Y3">
        <f>+JUDICIALES!H21</f>
        <v>31</v>
      </c>
      <c r="Z3">
        <f>+JUDICIALES!H22</f>
        <v>158</v>
      </c>
      <c r="AA3">
        <f>+JUDICIALES!H23</f>
        <v>20</v>
      </c>
      <c r="AB3">
        <f>+JUDICIALES!H24</f>
        <v>31</v>
      </c>
      <c r="AC3">
        <f>+PREJUDICIALES!D10</f>
        <v>31</v>
      </c>
      <c r="AD3">
        <f>+PREJUDICIALES!D11</f>
        <v>31</v>
      </c>
      <c r="AE3">
        <f>+PREJUDICIALES!D12</f>
        <v>25</v>
      </c>
      <c r="AF3">
        <f>+PREJUDICIALES!D13</f>
        <v>0</v>
      </c>
      <c r="AG3">
        <f>+PREJUDICIALES!D14</f>
        <v>6</v>
      </c>
      <c r="AH3">
        <f>+PREJUDICIALES!D17</f>
        <v>10</v>
      </c>
      <c r="AI3">
        <f>+PREJUDICIALES!D18</f>
        <v>7</v>
      </c>
      <c r="AJ3">
        <f>+PREJUDICIALES!G12</f>
        <v>0</v>
      </c>
      <c r="AK3">
        <f>+PREJUDICIALES!G13</f>
        <v>6</v>
      </c>
      <c r="AL3">
        <f>+ARBITRAMENTOS!D9</f>
        <v>1</v>
      </c>
      <c r="AM3">
        <f>+ARBITRAMENTOS!D10</f>
        <v>1</v>
      </c>
      <c r="AN3" t="str">
        <f>+PAGOS!D9</f>
        <v>Si</v>
      </c>
      <c r="AO3">
        <f>+PAGOS!D10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EB4C-BF31-445B-9BA4-A17C68E0AB29}">
  <dimension ref="B5:T17"/>
  <sheetViews>
    <sheetView workbookViewId="0">
      <selection activeCell="F14" sqref="F14"/>
    </sheetView>
  </sheetViews>
  <sheetFormatPr baseColWidth="10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9" t="s">
        <v>126</v>
      </c>
      <c r="C7" s="90"/>
      <c r="D7" s="90"/>
      <c r="E7" s="90"/>
      <c r="F7" s="90"/>
      <c r="G7" s="91"/>
      <c r="T7" s="1" t="s">
        <v>12</v>
      </c>
    </row>
    <row r="8" spans="2:20" x14ac:dyDescent="0.25">
      <c r="B8" s="14"/>
      <c r="C8" s="15"/>
      <c r="D8" s="15"/>
      <c r="E8" s="15"/>
      <c r="F8" s="15"/>
      <c r="G8" s="16"/>
      <c r="T8" s="1" t="s">
        <v>13</v>
      </c>
    </row>
    <row r="9" spans="2:20" x14ac:dyDescent="0.25">
      <c r="B9" s="22" t="s">
        <v>15</v>
      </c>
      <c r="C9" s="23" t="s">
        <v>16</v>
      </c>
      <c r="D9" s="24" t="s">
        <v>6</v>
      </c>
      <c r="E9" s="23" t="s">
        <v>7</v>
      </c>
      <c r="F9" s="23" t="s">
        <v>17</v>
      </c>
      <c r="G9" s="25" t="s">
        <v>91</v>
      </c>
      <c r="T9" s="1" t="s">
        <v>14</v>
      </c>
    </row>
    <row r="10" spans="2:20" x14ac:dyDescent="0.25">
      <c r="B10" s="21" t="s">
        <v>0</v>
      </c>
      <c r="C10" s="57" t="s">
        <v>12</v>
      </c>
      <c r="D10" s="61">
        <v>43635</v>
      </c>
      <c r="E10" s="58" t="s">
        <v>143</v>
      </c>
      <c r="F10" s="59"/>
      <c r="G10" s="56" t="str">
        <f t="shared" ref="G10:G15" si="0">IF(F10="","",IF(F10&lt;$T$12,"Desactualizado",""))</f>
        <v/>
      </c>
      <c r="H10" s="42">
        <f t="shared" ref="H10:H15" si="1">+IF(C10="N/A",1,0)</f>
        <v>0</v>
      </c>
      <c r="I10" s="42">
        <f t="shared" ref="I10:I15" si="2">+IF(C10="Si",1,0)</f>
        <v>1</v>
      </c>
      <c r="J10" s="42">
        <f t="shared" ref="J10:J15" si="3">+IF(C10="No",1,0)</f>
        <v>0</v>
      </c>
    </row>
    <row r="11" spans="2:20" x14ac:dyDescent="0.25">
      <c r="B11" s="21" t="s">
        <v>1</v>
      </c>
      <c r="C11" s="57" t="s">
        <v>12</v>
      </c>
      <c r="D11" s="61">
        <v>43949</v>
      </c>
      <c r="E11" s="58" t="s">
        <v>144</v>
      </c>
      <c r="F11" s="59"/>
      <c r="G11" s="56" t="str">
        <f t="shared" si="0"/>
        <v/>
      </c>
      <c r="H11" s="42">
        <f t="shared" si="1"/>
        <v>0</v>
      </c>
      <c r="I11" s="42">
        <f t="shared" si="2"/>
        <v>1</v>
      </c>
      <c r="J11" s="42">
        <f t="shared" si="3"/>
        <v>0</v>
      </c>
    </row>
    <row r="12" spans="2:20" x14ac:dyDescent="0.25">
      <c r="B12" s="21" t="s">
        <v>2</v>
      </c>
      <c r="C12" s="57" t="s">
        <v>12</v>
      </c>
      <c r="D12" s="61"/>
      <c r="E12" s="58" t="s">
        <v>147</v>
      </c>
      <c r="F12" s="59"/>
      <c r="G12" s="56" t="str">
        <f t="shared" si="0"/>
        <v/>
      </c>
      <c r="H12" s="42">
        <f t="shared" si="1"/>
        <v>0</v>
      </c>
      <c r="I12" s="42">
        <f t="shared" si="2"/>
        <v>1</v>
      </c>
      <c r="J12" s="42">
        <f t="shared" si="3"/>
        <v>0</v>
      </c>
      <c r="T12" s="49">
        <v>43545</v>
      </c>
    </row>
    <row r="13" spans="2:20" x14ac:dyDescent="0.25">
      <c r="B13" s="21" t="s">
        <v>3</v>
      </c>
      <c r="C13" s="57" t="s">
        <v>12</v>
      </c>
      <c r="D13" s="61">
        <v>42219</v>
      </c>
      <c r="E13" s="58" t="s">
        <v>145</v>
      </c>
      <c r="F13" s="59"/>
      <c r="G13" s="56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4</v>
      </c>
      <c r="C14" s="57" t="s">
        <v>12</v>
      </c>
      <c r="D14" s="61">
        <v>43726</v>
      </c>
      <c r="E14" s="58" t="s">
        <v>146</v>
      </c>
      <c r="F14" s="59">
        <v>43983</v>
      </c>
      <c r="G14" s="56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5</v>
      </c>
      <c r="C15" s="57" t="s">
        <v>12</v>
      </c>
      <c r="D15" s="61">
        <v>43985</v>
      </c>
      <c r="E15" s="58" t="s">
        <v>144</v>
      </c>
      <c r="F15" s="58"/>
      <c r="G15" s="56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0" t="s">
        <v>109</v>
      </c>
      <c r="C17" s="92" t="s">
        <v>148</v>
      </c>
      <c r="D17" s="92"/>
      <c r="E17" s="92"/>
      <c r="F17" s="92"/>
      <c r="G17" s="93"/>
    </row>
  </sheetData>
  <sheetProtection algorithmName="SHA-512" hashValue="hgWre8Npt+9rMr2yR55DaGG93kcc22wf0CimJibuDwplzUNo8DxLQM5IwOLMzqvFD71bCNGYQVYtud/5eAA0lg==" saltValue="4B+vpOv07airp2JTa7FL5w==" spinCount="100000" sheet="1"/>
  <mergeCells count="2">
    <mergeCell ref="B7:G7"/>
    <mergeCell ref="C17:G17"/>
  </mergeCells>
  <dataValidations count="2">
    <dataValidation type="date" allowBlank="1" showInputMessage="1" showErrorMessage="1" sqref="F10:F15 D10:D15" xr:uid="{557098AF-D2C2-4EAF-94D0-D183170D681C}">
      <formula1>40544</formula1>
      <formula2>44012</formula2>
    </dataValidation>
    <dataValidation type="list" allowBlank="1" showInputMessage="1" showErrorMessage="1" sqref="C10:C15" xr:uid="{803C6B95-17AE-42DA-BBFA-011050317CCB}">
      <formula1>$T$7:$T$9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B5E8-F134-4553-833A-7946B8442A10}">
  <dimension ref="B1:V22"/>
  <sheetViews>
    <sheetView showGridLines="0" topLeftCell="A7" zoomScaleNormal="100" workbookViewId="0">
      <selection activeCell="F25" sqref="F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120</v>
      </c>
      <c r="D7" s="35"/>
      <c r="E7" s="26"/>
      <c r="F7" s="94" t="str">
        <f>"Seleccione una muestra de "&amp;V3&amp;" abogados activos y complete la siguiente tabla"</f>
        <v>Seleccione una muestra de 10 abogados activos y complete la siguiente tabla</v>
      </c>
      <c r="G7" s="95"/>
      <c r="H7" s="33"/>
    </row>
    <row r="8" spans="2:22" x14ac:dyDescent="0.25">
      <c r="B8" s="14"/>
      <c r="C8" s="15"/>
      <c r="D8" s="15"/>
      <c r="E8" s="15"/>
      <c r="F8" s="96"/>
      <c r="G8" s="97"/>
      <c r="H8" s="16"/>
      <c r="T8" s="1" t="s">
        <v>13</v>
      </c>
    </row>
    <row r="9" spans="2:22" x14ac:dyDescent="0.25">
      <c r="B9" s="14"/>
      <c r="C9" s="23" t="s">
        <v>121</v>
      </c>
      <c r="D9" s="23" t="s">
        <v>23</v>
      </c>
      <c r="E9" s="6"/>
      <c r="F9" s="24" t="s">
        <v>113</v>
      </c>
      <c r="G9" s="24" t="s">
        <v>19</v>
      </c>
      <c r="H9" s="16"/>
      <c r="T9" s="1" t="s">
        <v>14</v>
      </c>
    </row>
    <row r="10" spans="2:22" x14ac:dyDescent="0.25">
      <c r="B10" s="14"/>
      <c r="C10" s="20" t="s">
        <v>21</v>
      </c>
      <c r="D10" s="57">
        <v>24</v>
      </c>
      <c r="E10" s="6"/>
      <c r="F10" s="20" t="s">
        <v>110</v>
      </c>
      <c r="G10" s="57">
        <v>9</v>
      </c>
      <c r="H10" s="16"/>
    </row>
    <row r="11" spans="2:22" x14ac:dyDescent="0.25">
      <c r="B11" s="14"/>
      <c r="C11" s="20" t="s">
        <v>22</v>
      </c>
      <c r="D11" s="57">
        <v>24</v>
      </c>
      <c r="E11" s="6"/>
      <c r="F11" s="20" t="s">
        <v>111</v>
      </c>
      <c r="G11" s="57">
        <v>10</v>
      </c>
      <c r="H11" s="16"/>
    </row>
    <row r="12" spans="2:22" x14ac:dyDescent="0.25">
      <c r="B12" s="14"/>
      <c r="C12" s="20" t="s">
        <v>27</v>
      </c>
      <c r="D12" s="57">
        <v>24</v>
      </c>
      <c r="E12" s="6"/>
      <c r="F12" s="20" t="s">
        <v>112</v>
      </c>
      <c r="G12" s="57">
        <v>8</v>
      </c>
      <c r="H12" s="16"/>
    </row>
    <row r="13" spans="2:22" x14ac:dyDescent="0.25">
      <c r="B13" s="14"/>
      <c r="C13" s="20" t="s">
        <v>20</v>
      </c>
      <c r="D13" s="57">
        <v>22</v>
      </c>
      <c r="E13" s="6"/>
      <c r="F13" s="53" t="s">
        <v>124</v>
      </c>
      <c r="G13" s="52"/>
      <c r="H13" s="16"/>
    </row>
    <row r="14" spans="2:22" x14ac:dyDescent="0.25">
      <c r="B14" s="14"/>
      <c r="E14" s="6"/>
      <c r="F14" s="54" t="s">
        <v>125</v>
      </c>
      <c r="G14" s="55"/>
      <c r="H14" s="16"/>
    </row>
    <row r="15" spans="2:22" x14ac:dyDescent="0.25">
      <c r="B15" s="14"/>
      <c r="C15" s="23" t="s">
        <v>24</v>
      </c>
      <c r="D15" s="23" t="s">
        <v>23</v>
      </c>
      <c r="E15" s="6"/>
      <c r="H15" s="16"/>
    </row>
    <row r="16" spans="2:22" x14ac:dyDescent="0.25">
      <c r="B16" s="14"/>
      <c r="C16" s="20" t="s">
        <v>122</v>
      </c>
      <c r="D16" s="57">
        <v>5</v>
      </c>
      <c r="E16" s="6"/>
      <c r="F16" s="24" t="s">
        <v>141</v>
      </c>
      <c r="G16" s="24" t="s">
        <v>19</v>
      </c>
      <c r="H16" s="16"/>
    </row>
    <row r="17" spans="2:8" x14ac:dyDescent="0.25">
      <c r="B17" s="14"/>
      <c r="C17" s="20" t="s">
        <v>123</v>
      </c>
      <c r="D17" s="57">
        <v>6</v>
      </c>
      <c r="E17" s="6"/>
      <c r="F17" s="20" t="s">
        <v>25</v>
      </c>
      <c r="G17" s="57">
        <v>17</v>
      </c>
      <c r="H17" s="16"/>
    </row>
    <row r="18" spans="2:8" x14ac:dyDescent="0.25">
      <c r="B18" s="14"/>
      <c r="C18" s="38"/>
      <c r="D18" s="15"/>
      <c r="E18" s="6"/>
      <c r="F18" s="50" t="s">
        <v>92</v>
      </c>
      <c r="G18" s="57">
        <v>7</v>
      </c>
      <c r="H18" s="16"/>
    </row>
    <row r="19" spans="2:8" ht="15.75" thickBot="1" x14ac:dyDescent="0.3">
      <c r="B19" s="14"/>
      <c r="C19" s="73" t="s">
        <v>114</v>
      </c>
      <c r="E19" s="6"/>
      <c r="F19" s="20" t="s">
        <v>119</v>
      </c>
      <c r="G19" s="57">
        <v>0</v>
      </c>
      <c r="H19" s="16"/>
    </row>
    <row r="20" spans="2:8" x14ac:dyDescent="0.25">
      <c r="B20" s="14"/>
      <c r="C20" s="98" t="s">
        <v>150</v>
      </c>
      <c r="D20" s="99"/>
      <c r="E20" s="6"/>
      <c r="F20" s="20" t="s">
        <v>26</v>
      </c>
      <c r="G20" s="57">
        <v>0</v>
      </c>
      <c r="H20" s="16"/>
    </row>
    <row r="21" spans="2:8" ht="15.75" thickBot="1" x14ac:dyDescent="0.3">
      <c r="B21" s="14"/>
      <c r="C21" s="100"/>
      <c r="D21" s="101"/>
      <c r="E21" s="6"/>
      <c r="F21" s="15"/>
      <c r="G21" s="63"/>
      <c r="H21" s="16"/>
    </row>
    <row r="22" spans="2:8" ht="15.75" thickBot="1" x14ac:dyDescent="0.3">
      <c r="B22" s="17"/>
      <c r="C22" s="18"/>
      <c r="D22" s="18"/>
      <c r="E22" s="18"/>
      <c r="F22" s="18"/>
      <c r="G22" s="18"/>
      <c r="H22" s="19"/>
    </row>
  </sheetData>
  <sheetProtection algorithmName="SHA-512" hashValue="j38KBDZ94Bcr91IA+3P4d7BF8GTuiT4oSgTD7yjx87VBdvG50wGOGD54/l799eN5AtWF7iOAOECcgVvm7+iNwQ==" saltValue="rAVXJ4sCo9bqjbeaEx1WqQ==" spinCount="100000" sheet="1"/>
  <mergeCells count="2">
    <mergeCell ref="F7:G8"/>
    <mergeCell ref="C20:D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820D-2708-42C6-B139-54F103CBEEC5}">
  <dimension ref="B1:W34"/>
  <sheetViews>
    <sheetView showGridLines="0" topLeftCell="A10" zoomScale="85" zoomScaleNormal="85" workbookViewId="0">
      <selection activeCell="H22" sqref="H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+IF(D16&lt;=10,D16,IF(ROUNDDOWN(D16*10%,0)&lt;10,10,ROUNDDOWN(D16*10%,0)))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02" t="s">
        <v>76</v>
      </c>
      <c r="D6" s="102"/>
      <c r="E6" s="102"/>
      <c r="F6" s="102"/>
      <c r="G6" s="102"/>
      <c r="H6" s="102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115</v>
      </c>
      <c r="D8" s="23" t="s">
        <v>23</v>
      </c>
      <c r="E8" s="6"/>
      <c r="F8" s="37" t="s">
        <v>140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C9" s="20" t="s">
        <v>29</v>
      </c>
      <c r="D9" s="57">
        <v>471</v>
      </c>
      <c r="E9" s="6"/>
      <c r="F9" s="20" t="s">
        <v>28</v>
      </c>
      <c r="G9" s="57">
        <v>12</v>
      </c>
      <c r="H9" s="15"/>
      <c r="I9" s="16"/>
    </row>
    <row r="10" spans="2:23" x14ac:dyDescent="0.25">
      <c r="B10" s="14"/>
      <c r="C10" s="20" t="s">
        <v>30</v>
      </c>
      <c r="D10" s="57">
        <v>470</v>
      </c>
      <c r="E10" s="6"/>
      <c r="F10" s="20" t="s">
        <v>68</v>
      </c>
      <c r="G10" s="57">
        <v>12</v>
      </c>
      <c r="H10" s="15"/>
      <c r="I10" s="16"/>
    </row>
    <row r="11" spans="2:23" x14ac:dyDescent="0.25">
      <c r="B11" s="14"/>
      <c r="C11" s="20" t="s">
        <v>93</v>
      </c>
      <c r="D11" s="57">
        <v>0</v>
      </c>
      <c r="E11" s="6"/>
      <c r="F11" s="20" t="s">
        <v>98</v>
      </c>
      <c r="G11" s="57">
        <v>8</v>
      </c>
      <c r="H11" s="15"/>
      <c r="I11" s="16"/>
    </row>
    <row r="12" spans="2:23" x14ac:dyDescent="0.25">
      <c r="B12" s="14"/>
      <c r="C12" s="38" t="s">
        <v>94</v>
      </c>
      <c r="E12" s="6"/>
      <c r="F12" s="38" t="s">
        <v>97</v>
      </c>
      <c r="I12" s="16"/>
    </row>
    <row r="13" spans="2:23" x14ac:dyDescent="0.25">
      <c r="B13" s="14"/>
      <c r="E13" s="6"/>
      <c r="F13" s="38" t="s">
        <v>99</v>
      </c>
      <c r="I13" s="16"/>
    </row>
    <row r="14" spans="2:23" x14ac:dyDescent="0.25">
      <c r="B14" s="14"/>
      <c r="C14" s="23" t="s">
        <v>116</v>
      </c>
      <c r="D14" s="23" t="s">
        <v>23</v>
      </c>
      <c r="E14" s="6"/>
      <c r="F14" s="24" t="s">
        <v>35</v>
      </c>
      <c r="G14" s="24" t="s">
        <v>23</v>
      </c>
      <c r="I14" s="16"/>
    </row>
    <row r="15" spans="2:23" x14ac:dyDescent="0.25">
      <c r="B15" s="14"/>
      <c r="C15" s="20" t="s">
        <v>138</v>
      </c>
      <c r="D15" s="57">
        <v>19</v>
      </c>
      <c r="E15" s="6"/>
      <c r="F15" s="20" t="s">
        <v>128</v>
      </c>
      <c r="G15" s="57">
        <v>322</v>
      </c>
      <c r="I15" s="16"/>
    </row>
    <row r="16" spans="2:23" x14ac:dyDescent="0.25">
      <c r="B16" s="14"/>
      <c r="C16" s="20" t="s">
        <v>139</v>
      </c>
      <c r="D16" s="57">
        <v>19</v>
      </c>
      <c r="E16" s="6"/>
      <c r="F16" s="20" t="s">
        <v>127</v>
      </c>
      <c r="G16" s="57">
        <v>163</v>
      </c>
      <c r="H16" s="15"/>
      <c r="I16" s="16"/>
    </row>
    <row r="17" spans="2:9" x14ac:dyDescent="0.25">
      <c r="B17" s="14"/>
      <c r="C17" s="38" t="s">
        <v>95</v>
      </c>
      <c r="E17" s="6"/>
      <c r="F17" s="20" t="s">
        <v>70</v>
      </c>
      <c r="G17" s="57">
        <v>151</v>
      </c>
      <c r="H17" s="15"/>
      <c r="I17" s="16"/>
    </row>
    <row r="18" spans="2:9" x14ac:dyDescent="0.25">
      <c r="B18" s="14"/>
      <c r="E18" s="6"/>
      <c r="F18" s="20" t="s">
        <v>37</v>
      </c>
      <c r="G18" s="57">
        <v>8</v>
      </c>
      <c r="H18" s="15"/>
      <c r="I18" s="16"/>
    </row>
    <row r="19" spans="2:9" x14ac:dyDescent="0.25">
      <c r="B19" s="14"/>
      <c r="C19" s="51" t="s">
        <v>34</v>
      </c>
      <c r="D19" s="51" t="s">
        <v>23</v>
      </c>
      <c r="E19" s="6"/>
      <c r="H19" s="15"/>
      <c r="I19" s="16"/>
    </row>
    <row r="20" spans="2:9" ht="29.25" customHeight="1" x14ac:dyDescent="0.25">
      <c r="B20" s="14"/>
      <c r="C20" s="74" t="s">
        <v>117</v>
      </c>
      <c r="D20" s="75">
        <v>699</v>
      </c>
      <c r="E20" s="6"/>
      <c r="F20" s="39" t="s">
        <v>129</v>
      </c>
      <c r="G20" s="39" t="s">
        <v>32</v>
      </c>
      <c r="H20" s="40" t="s">
        <v>75</v>
      </c>
      <c r="I20" s="16"/>
    </row>
    <row r="21" spans="2:9" x14ac:dyDescent="0.25">
      <c r="B21" s="14"/>
      <c r="C21" s="74" t="s">
        <v>96</v>
      </c>
      <c r="D21" s="75">
        <v>23</v>
      </c>
      <c r="E21" s="6"/>
      <c r="F21" s="20" t="s">
        <v>71</v>
      </c>
      <c r="G21" s="57">
        <v>84</v>
      </c>
      <c r="H21" s="57">
        <v>31</v>
      </c>
      <c r="I21" s="16"/>
    </row>
    <row r="22" spans="2:9" x14ac:dyDescent="0.25">
      <c r="B22" s="14"/>
      <c r="C22" s="106" t="s">
        <v>118</v>
      </c>
      <c r="D22" s="106"/>
      <c r="E22" s="6"/>
      <c r="F22" s="20" t="s">
        <v>72</v>
      </c>
      <c r="G22" s="57">
        <v>176</v>
      </c>
      <c r="H22" s="57">
        <v>158</v>
      </c>
      <c r="I22" s="16"/>
    </row>
    <row r="23" spans="2:9" x14ac:dyDescent="0.25">
      <c r="B23" s="14"/>
      <c r="C23" s="107"/>
      <c r="D23" s="107"/>
      <c r="E23" s="6"/>
      <c r="F23" s="20" t="s">
        <v>73</v>
      </c>
      <c r="G23" s="57">
        <v>23</v>
      </c>
      <c r="H23" s="57">
        <v>20</v>
      </c>
      <c r="I23" s="16"/>
    </row>
    <row r="24" spans="2:9" x14ac:dyDescent="0.25">
      <c r="B24" s="14"/>
      <c r="C24" s="15"/>
      <c r="E24" s="6"/>
      <c r="F24" s="20" t="s">
        <v>74</v>
      </c>
      <c r="G24" s="57">
        <v>31</v>
      </c>
      <c r="H24" s="57">
        <v>31</v>
      </c>
      <c r="I24" s="16"/>
    </row>
    <row r="25" spans="2:9" ht="30" customHeight="1" x14ac:dyDescent="0.25">
      <c r="B25" s="14"/>
      <c r="C25" s="108" t="str">
        <f>"Seleccione "&amp;W3&amp;" procesos teminados en el primer semestre de 2020 y llene la siguiente tabla:"</f>
        <v>Seleccione 10 procesos teminados en el primer semestre de 2020 y llene la siguiente tabla:</v>
      </c>
      <c r="D25" s="109"/>
      <c r="E25" s="6"/>
      <c r="F25" s="112" t="s">
        <v>130</v>
      </c>
      <c r="G25" s="112"/>
      <c r="H25" s="112"/>
      <c r="I25" s="16"/>
    </row>
    <row r="26" spans="2:9" x14ac:dyDescent="0.25">
      <c r="B26" s="14"/>
      <c r="C26" s="110"/>
      <c r="D26" s="111"/>
      <c r="E26" s="6"/>
      <c r="F26" s="76"/>
      <c r="G26" s="15"/>
      <c r="H26" s="15"/>
      <c r="I26" s="16"/>
    </row>
    <row r="27" spans="2:9" ht="15.75" thickBot="1" x14ac:dyDescent="0.3">
      <c r="B27" s="14"/>
      <c r="C27" s="51" t="s">
        <v>108</v>
      </c>
      <c r="D27" s="51" t="s">
        <v>23</v>
      </c>
      <c r="E27" s="6"/>
      <c r="I27" s="16"/>
    </row>
    <row r="28" spans="2:9" x14ac:dyDescent="0.25">
      <c r="B28" s="14"/>
      <c r="C28" s="20" t="s">
        <v>100</v>
      </c>
      <c r="D28" s="57">
        <v>10</v>
      </c>
      <c r="E28" s="6"/>
      <c r="F28" s="103" t="s">
        <v>107</v>
      </c>
      <c r="G28" s="104"/>
      <c r="H28" s="105"/>
      <c r="I28" s="16"/>
    </row>
    <row r="29" spans="2:9" x14ac:dyDescent="0.25">
      <c r="B29" s="14"/>
      <c r="C29" s="20" t="s">
        <v>101</v>
      </c>
      <c r="D29" s="57">
        <v>10</v>
      </c>
      <c r="E29" s="6"/>
      <c r="F29" s="77" t="s">
        <v>149</v>
      </c>
      <c r="G29" s="62"/>
      <c r="H29" s="78"/>
      <c r="I29" s="16"/>
    </row>
    <row r="30" spans="2:9" x14ac:dyDescent="0.25">
      <c r="B30" s="14"/>
      <c r="C30" s="20" t="s">
        <v>102</v>
      </c>
      <c r="D30" s="57">
        <v>0</v>
      </c>
      <c r="E30" s="6"/>
      <c r="F30" s="79"/>
      <c r="G30" s="63"/>
      <c r="H30" s="80"/>
      <c r="I30" s="16"/>
    </row>
    <row r="31" spans="2:9" x14ac:dyDescent="0.25">
      <c r="B31" s="14"/>
      <c r="C31" s="20" t="s">
        <v>103</v>
      </c>
      <c r="D31" s="57">
        <v>0</v>
      </c>
      <c r="E31" s="6"/>
      <c r="F31" s="79"/>
      <c r="G31" s="63"/>
      <c r="H31" s="80"/>
      <c r="I31" s="16"/>
    </row>
    <row r="32" spans="2:9" ht="15.75" thickBot="1" x14ac:dyDescent="0.3">
      <c r="B32" s="14"/>
      <c r="C32" s="20" t="s">
        <v>104</v>
      </c>
      <c r="D32" s="57">
        <v>0</v>
      </c>
      <c r="E32" s="6"/>
      <c r="F32" s="81"/>
      <c r="G32" s="82"/>
      <c r="H32" s="83"/>
      <c r="I32" s="16"/>
    </row>
    <row r="33" spans="2:9" x14ac:dyDescent="0.25">
      <c r="B33" s="14"/>
      <c r="C33" s="15"/>
      <c r="E33" s="6"/>
      <c r="F33" s="15"/>
      <c r="G33" s="15"/>
      <c r="H33" s="15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D0S0Yb7d0YH8276XBpAk/CVnvb/Qhk+x8dkFHH7EuDW70ca5Y4h7DVjydUOPI+CqX5DdW5VYmGi8puA3C7Sm3w==" saltValue="rDBe8652VLJmHrX0lmnpSQ==" spinCount="100000" sheet="1"/>
  <mergeCells count="5">
    <mergeCell ref="C6:H6"/>
    <mergeCell ref="F28:H28"/>
    <mergeCell ref="C22:D23"/>
    <mergeCell ref="C25:D26"/>
    <mergeCell ref="F25:H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FC5B-4A94-48EB-8C86-7D20D1A6D852}">
  <dimension ref="B1:V23"/>
  <sheetViews>
    <sheetView showGridLines="0" topLeftCell="A4" zoomScale="85" zoomScaleNormal="85" workbookViewId="0">
      <selection activeCell="F17" sqref="F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71093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6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6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02" t="s">
        <v>58</v>
      </c>
      <c r="D7" s="102"/>
      <c r="E7" s="102"/>
      <c r="F7" s="102"/>
      <c r="G7" s="102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131</v>
      </c>
      <c r="D9" s="23" t="s">
        <v>23</v>
      </c>
      <c r="E9" s="6"/>
      <c r="F9" s="94" t="str">
        <f>"Seleccione una muestra de "&amp;V3&amp;" prejudiciales activos registrados antes de 31 de marzo de 2020 y complete la siguiente tabla"</f>
        <v>Seleccione una muestra de 6 prejudiciales activos registrados antes de 31 de marzo de 2020 y complete la siguiente tabla</v>
      </c>
      <c r="G9" s="95"/>
      <c r="H9" s="16"/>
      <c r="T9" s="1" t="s">
        <v>14</v>
      </c>
    </row>
    <row r="10" spans="2:22" x14ac:dyDescent="0.25">
      <c r="B10" s="14"/>
      <c r="C10" s="20" t="s">
        <v>57</v>
      </c>
      <c r="D10" s="57">
        <v>31</v>
      </c>
      <c r="E10" s="6"/>
      <c r="F10" s="96"/>
      <c r="G10" s="97"/>
      <c r="H10" s="16"/>
    </row>
    <row r="11" spans="2:22" x14ac:dyDescent="0.25">
      <c r="B11" s="14"/>
      <c r="C11" s="20" t="s">
        <v>59</v>
      </c>
      <c r="D11" s="57">
        <v>31</v>
      </c>
      <c r="E11" s="6"/>
      <c r="F11" s="24" t="s">
        <v>34</v>
      </c>
      <c r="G11" s="24" t="s">
        <v>61</v>
      </c>
      <c r="H11" s="16"/>
    </row>
    <row r="12" spans="2:22" x14ac:dyDescent="0.25">
      <c r="B12" s="14"/>
      <c r="C12" s="20" t="s">
        <v>88</v>
      </c>
      <c r="D12" s="57">
        <v>25</v>
      </c>
      <c r="E12" s="6"/>
      <c r="F12" s="36" t="s">
        <v>62</v>
      </c>
      <c r="G12" s="64">
        <v>0</v>
      </c>
      <c r="H12" s="16"/>
    </row>
    <row r="13" spans="2:22" x14ac:dyDescent="0.25">
      <c r="B13" s="14"/>
      <c r="C13" s="20" t="s">
        <v>89</v>
      </c>
      <c r="D13" s="57">
        <v>0</v>
      </c>
      <c r="E13" s="6"/>
      <c r="F13" s="20" t="s">
        <v>63</v>
      </c>
      <c r="G13" s="57">
        <v>6</v>
      </c>
      <c r="H13" s="16"/>
    </row>
    <row r="14" spans="2:22" x14ac:dyDescent="0.25">
      <c r="B14" s="14"/>
      <c r="C14" s="20" t="s">
        <v>90</v>
      </c>
      <c r="D14" s="57">
        <v>6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132</v>
      </c>
      <c r="D16" s="23" t="s">
        <v>23</v>
      </c>
      <c r="E16" s="6"/>
      <c r="F16" s="113" t="s">
        <v>107</v>
      </c>
      <c r="G16" s="114"/>
      <c r="H16" s="16"/>
    </row>
    <row r="17" spans="2:8" x14ac:dyDescent="0.25">
      <c r="B17" s="14"/>
      <c r="C17" s="20" t="s">
        <v>133</v>
      </c>
      <c r="D17" s="57">
        <v>10</v>
      </c>
      <c r="E17" s="6"/>
      <c r="F17" s="65" t="s">
        <v>151</v>
      </c>
      <c r="G17" s="66"/>
      <c r="H17" s="16"/>
    </row>
    <row r="18" spans="2:8" x14ac:dyDescent="0.25">
      <c r="B18" s="14"/>
      <c r="C18" s="20" t="s">
        <v>134</v>
      </c>
      <c r="D18" s="57">
        <v>7</v>
      </c>
      <c r="E18" s="6"/>
      <c r="F18" s="65"/>
      <c r="G18" s="66"/>
      <c r="H18" s="16"/>
    </row>
    <row r="19" spans="2:8" x14ac:dyDescent="0.25">
      <c r="B19" s="14"/>
      <c r="C19"/>
      <c r="D19"/>
      <c r="E19" s="6"/>
      <c r="F19" s="67"/>
      <c r="G19" s="68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8ykWQT6GgtN6LrOuCfIPGbiaFyB85pDHBwFo7c1ocVojcihxqsEHpvgQY5NgZP5RZFDeVCrYpwThc+r5/hMh+Q==" saltValue="YvhYZQt+FydjltxHZKY6Vw==" spinCount="100000" sheet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F4D8-8E0E-4532-890E-2F29FCBB3654}">
  <dimension ref="B1:V14"/>
  <sheetViews>
    <sheetView showGridLines="0" topLeftCell="C1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78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78</v>
      </c>
      <c r="D8" s="23" t="s">
        <v>23</v>
      </c>
      <c r="E8" s="6"/>
      <c r="F8" s="23" t="s">
        <v>78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135</v>
      </c>
      <c r="D9" s="57">
        <v>1</v>
      </c>
      <c r="E9" s="6"/>
      <c r="F9" s="20" t="s">
        <v>136</v>
      </c>
      <c r="G9" s="69">
        <v>0</v>
      </c>
      <c r="H9" s="16"/>
    </row>
    <row r="10" spans="2:22" x14ac:dyDescent="0.25">
      <c r="B10" s="14"/>
      <c r="C10" s="20" t="s">
        <v>80</v>
      </c>
      <c r="D10" s="57">
        <v>1</v>
      </c>
      <c r="E10" s="6"/>
      <c r="F10" s="20" t="s">
        <v>105</v>
      </c>
      <c r="G10" s="69">
        <v>0</v>
      </c>
      <c r="H10" s="16"/>
    </row>
    <row r="11" spans="2:22" x14ac:dyDescent="0.25">
      <c r="B11" s="14"/>
      <c r="C11" s="15"/>
      <c r="D11" s="63"/>
      <c r="E11" s="6"/>
      <c r="F11" s="15"/>
      <c r="G11" s="70"/>
      <c r="H11" s="16"/>
    </row>
    <row r="12" spans="2:22" ht="15.75" thickBot="1" x14ac:dyDescent="0.3">
      <c r="B12" s="14"/>
      <c r="C12" s="71" t="s">
        <v>109</v>
      </c>
      <c r="D12" s="63"/>
      <c r="E12" s="6"/>
      <c r="F12" s="15"/>
      <c r="G12" s="70"/>
      <c r="H12" s="16"/>
      <c r="T12" s="1">
        <f>IF(D9="",0,1)</f>
        <v>1</v>
      </c>
    </row>
    <row r="13" spans="2:22" ht="15.75" thickBot="1" x14ac:dyDescent="0.3">
      <c r="B13" s="14"/>
      <c r="C13" s="115"/>
      <c r="D13" s="116"/>
      <c r="E13" s="116"/>
      <c r="F13" s="116"/>
      <c r="G13" s="117"/>
      <c r="H13" s="16"/>
      <c r="T13" s="1">
        <f>IF(G9="",0,1)</f>
        <v>1</v>
      </c>
    </row>
    <row r="14" spans="2:22" ht="15.75" thickBot="1" x14ac:dyDescent="0.3">
      <c r="B14" s="17"/>
      <c r="C14" s="18"/>
      <c r="D14" s="18"/>
      <c r="E14" s="18"/>
      <c r="F14" s="18"/>
      <c r="G14" s="18"/>
      <c r="H14" s="19"/>
      <c r="T14" s="1">
        <f>+T12+T13</f>
        <v>2</v>
      </c>
    </row>
  </sheetData>
  <sheetProtection algorithmName="SHA-512" hashValue="ZwaxxXrOqahjfFCwdtxLXFuLLEVXkvakCAeF3hG1lUFAQE+t7buu28pLs+dkJKxZ+xEY/eF2Ah4zGFcsewkHrA==" saltValue="sutVe+sC8yJicGrcOluNbQ==" spinCount="100000" sheet="1"/>
  <mergeCells count="1">
    <mergeCell ref="C13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69B4-A192-44A1-AC1E-C12705B3B7EC}">
  <dimension ref="B1:V11"/>
  <sheetViews>
    <sheetView showGridLines="0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02" t="s">
        <v>8</v>
      </c>
      <c r="D6" s="102"/>
      <c r="E6" s="26"/>
      <c r="F6"/>
      <c r="G6"/>
      <c r="H6" s="33"/>
      <c r="T6" s="1" t="s">
        <v>12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ht="15.75" thickBot="1" x14ac:dyDescent="0.3">
      <c r="B8" s="14"/>
      <c r="C8" s="23" t="s">
        <v>33</v>
      </c>
      <c r="D8" s="23" t="s">
        <v>23</v>
      </c>
      <c r="E8" s="6"/>
      <c r="F8" s="72" t="s">
        <v>109</v>
      </c>
      <c r="G8"/>
      <c r="H8" s="16"/>
      <c r="T8" s="1" t="s">
        <v>14</v>
      </c>
    </row>
    <row r="9" spans="2:22" x14ac:dyDescent="0.25">
      <c r="B9" s="14"/>
      <c r="C9" s="20" t="s">
        <v>82</v>
      </c>
      <c r="D9" s="57" t="s">
        <v>12</v>
      </c>
      <c r="E9" s="6"/>
      <c r="F9" s="118" t="s">
        <v>152</v>
      </c>
      <c r="G9" s="119"/>
      <c r="H9" s="16"/>
    </row>
    <row r="10" spans="2:22" ht="15.75" thickBot="1" x14ac:dyDescent="0.3">
      <c r="B10" s="14"/>
      <c r="C10" s="20" t="s">
        <v>137</v>
      </c>
      <c r="D10" s="57">
        <v>0</v>
      </c>
      <c r="E10" s="6"/>
      <c r="F10" s="120"/>
      <c r="G10" s="121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WZqnLMDgxzmOM9ij2NvbGA6wSqk/4ePq2HDe8icCH7WbM3NnarN5nJ/bFcm/7e+xgjYMiz2rRbZ8qiYmwDE9Cw==" saltValue="Z0KR4nL+bEKQKOkYjJ+IFg==" spinCount="100000" sheet="1"/>
  <mergeCells count="2">
    <mergeCell ref="C6:D6"/>
    <mergeCell ref="F9:G10"/>
  </mergeCells>
  <dataValidations count="1">
    <dataValidation type="list" allowBlank="1" showInputMessage="1" showErrorMessage="1" sqref="D9" xr:uid="{BAE67412-584B-4DE4-AA5C-35AE0D2BD371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F2B1-919C-4269-A92D-A455391B7464}">
  <dimension ref="B2:M26"/>
  <sheetViews>
    <sheetView showGridLines="0" tabSelected="1" workbookViewId="0">
      <selection activeCell="B23" sqref="B23:F26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3" t="s">
        <v>10</v>
      </c>
      <c r="C2" s="123"/>
      <c r="D2" s="123"/>
      <c r="E2" s="123"/>
      <c r="F2" s="123"/>
      <c r="G2" s="123"/>
      <c r="H2" s="47"/>
      <c r="I2" s="47"/>
      <c r="J2" s="47"/>
      <c r="K2" s="47"/>
      <c r="L2" s="47"/>
      <c r="M2" s="48"/>
    </row>
    <row r="3" spans="2:13" ht="18.75" x14ac:dyDescent="0.3">
      <c r="B3" s="123" t="s">
        <v>11</v>
      </c>
      <c r="C3" s="123"/>
      <c r="D3" s="123"/>
      <c r="E3" s="123"/>
      <c r="F3" s="123"/>
      <c r="G3" s="123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39</v>
      </c>
      <c r="C5" s="122" t="s">
        <v>153</v>
      </c>
      <c r="D5" s="122"/>
      <c r="E5" s="122"/>
      <c r="F5" s="122"/>
      <c r="G5" s="122"/>
      <c r="H5" s="6"/>
      <c r="I5" s="6"/>
      <c r="J5" s="6"/>
    </row>
    <row r="6" spans="2:13" x14ac:dyDescent="0.25">
      <c r="B6" t="s">
        <v>3</v>
      </c>
      <c r="C6" s="122" t="s">
        <v>154</v>
      </c>
      <c r="D6" s="122"/>
      <c r="E6" s="122"/>
      <c r="F6" s="122"/>
      <c r="G6" s="122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40</v>
      </c>
      <c r="C8" s="44" t="str">
        <f>+IF(SUM(USUARIOS!I10:J15)=0,"Falta diligenciar","")</f>
        <v/>
      </c>
      <c r="E8" t="s">
        <v>86</v>
      </c>
      <c r="F8" s="44" t="str">
        <f>+IF(PREJUDICIALES!$D$10="","Falta  actualizar","")</f>
        <v/>
      </c>
    </row>
    <row r="9" spans="2:13" x14ac:dyDescent="0.25">
      <c r="B9" s="43" t="s">
        <v>43</v>
      </c>
      <c r="C9" s="45">
        <f>+SUM(USUARIOS!I10:I15)/(6-SUM(USUARIOS!H10:H15))</f>
        <v>1</v>
      </c>
      <c r="E9" s="43" t="s">
        <v>48</v>
      </c>
      <c r="F9" s="43">
        <f>+PREJUDICIALES!$D$11</f>
        <v>31</v>
      </c>
    </row>
    <row r="10" spans="2:13" x14ac:dyDescent="0.25">
      <c r="B10" s="43" t="s">
        <v>41</v>
      </c>
      <c r="C10" s="43">
        <f>+ABOGADOS!$D$11+SUM(USUARIOS!I10:I15)</f>
        <v>30</v>
      </c>
      <c r="E10" s="43" t="s">
        <v>46</v>
      </c>
      <c r="F10" s="45">
        <f>IFERROR(PREJUDICIALES!$D$11/PREJUDICIALES!$D$10,"")</f>
        <v>1</v>
      </c>
    </row>
    <row r="11" spans="2:13" x14ac:dyDescent="0.25">
      <c r="B11" s="43" t="s">
        <v>9</v>
      </c>
      <c r="C11" s="84" t="s">
        <v>142</v>
      </c>
      <c r="E11" s="43" t="s">
        <v>50</v>
      </c>
      <c r="F11" s="45">
        <f>IFERROR(PREJUDICIALES!$G$13/PREJUDICIALES!$V$3,"")</f>
        <v>1</v>
      </c>
    </row>
    <row r="12" spans="2:13" x14ac:dyDescent="0.25">
      <c r="B12" s="43" t="s">
        <v>42</v>
      </c>
      <c r="C12" s="45">
        <f>IFERROR((ABOGADOS!$G$17+ABOGADOS!$G$18+ABOGADOS!$G$19*0.5)/ABOGADOS!$V$3,"")</f>
        <v>2.4</v>
      </c>
    </row>
    <row r="13" spans="2:13" x14ac:dyDescent="0.25">
      <c r="B13" s="43" t="s">
        <v>49</v>
      </c>
      <c r="C13" s="45">
        <f>IFERROR((ABOGADOS!$G$10+ABOGADOS!$G$11+ABOGADOS!$G$12)/(ABOGADOS!$V$3*3),"")</f>
        <v>0.9</v>
      </c>
      <c r="E13" t="s">
        <v>78</v>
      </c>
      <c r="F13" s="44" t="str">
        <f>+IF(ARBITRAMENTOS!T14=0,"Falta  actualizar","")</f>
        <v/>
      </c>
    </row>
    <row r="14" spans="2:13" x14ac:dyDescent="0.25">
      <c r="E14" s="43" t="s">
        <v>47</v>
      </c>
      <c r="F14" s="43">
        <f>+ARBITRAMENTOS!D10</f>
        <v>1</v>
      </c>
    </row>
    <row r="15" spans="2:13" x14ac:dyDescent="0.25">
      <c r="B15" t="s">
        <v>85</v>
      </c>
      <c r="C15" s="44" t="str">
        <f>+IF(JUDICIALES!$D$9="","Falta  actualizar","")</f>
        <v/>
      </c>
      <c r="E15" s="43" t="s">
        <v>46</v>
      </c>
      <c r="F15" s="45">
        <f>IFERROR(ARBITRAMENTOS!D10/ARBITRAMENTOS!D9,"")</f>
        <v>1</v>
      </c>
    </row>
    <row r="16" spans="2:13" x14ac:dyDescent="0.25">
      <c r="B16" s="43" t="s">
        <v>44</v>
      </c>
      <c r="C16" s="43">
        <f>+JUDICIALES!$D$10</f>
        <v>470</v>
      </c>
    </row>
    <row r="17" spans="2:6" x14ac:dyDescent="0.25">
      <c r="B17" s="43" t="s">
        <v>46</v>
      </c>
      <c r="C17" s="45">
        <f>IFERROR(JUDICIALES!$D$10/JUDICIALES!$D$9,"")</f>
        <v>0.99787685774946921</v>
      </c>
      <c r="E17" t="s">
        <v>81</v>
      </c>
      <c r="F17" s="44" t="str">
        <f>+IF(PAGOS!D9="","Falta  actualizar","")</f>
        <v/>
      </c>
    </row>
    <row r="18" spans="2:6" x14ac:dyDescent="0.25">
      <c r="B18" s="43" t="s">
        <v>53</v>
      </c>
      <c r="C18" s="45">
        <f>IFERROR(JUDICIALES!$G$11/JUDICIALES!$G$10,"")</f>
        <v>0.66666666666666663</v>
      </c>
      <c r="E18" s="43" t="s">
        <v>51</v>
      </c>
      <c r="F18" s="43">
        <f>+PAGOS!D10</f>
        <v>0</v>
      </c>
    </row>
    <row r="19" spans="2:6" x14ac:dyDescent="0.25">
      <c r="B19" s="43" t="s">
        <v>45</v>
      </c>
      <c r="C19" s="43">
        <f>IFERROR(C16/ABOGADOS!$D$11,"")</f>
        <v>19.583333333333332</v>
      </c>
      <c r="E19" s="43" t="s">
        <v>52</v>
      </c>
      <c r="F19" s="43" t="str">
        <f>+IF(PAGOS!D9="No","No aplica","si")</f>
        <v>si</v>
      </c>
    </row>
    <row r="20" spans="2:6" x14ac:dyDescent="0.25">
      <c r="B20" s="43" t="s">
        <v>84</v>
      </c>
      <c r="C20" s="45">
        <f>IFERROR(1-(JUDICIALES!$H$22+JUDICIALES!$H$23+JUDICIALES!$H$24)/(JUDICIALES!$G$22+JUDICIALES!$G$23+JUDICIALES!$G$24),"")</f>
        <v>9.1304347826086985E-2</v>
      </c>
    </row>
    <row r="21" spans="2:6" ht="15.75" thickBot="1" x14ac:dyDescent="0.3"/>
    <row r="22" spans="2:6" x14ac:dyDescent="0.25">
      <c r="B22" s="2" t="s">
        <v>109</v>
      </c>
      <c r="C22" s="3"/>
      <c r="D22" s="3"/>
      <c r="E22" s="3"/>
      <c r="F22" s="4"/>
    </row>
    <row r="23" spans="2:6" x14ac:dyDescent="0.25">
      <c r="B23" s="124" t="s">
        <v>155</v>
      </c>
      <c r="C23" s="125"/>
      <c r="D23" s="125"/>
      <c r="E23" s="125"/>
      <c r="F23" s="126"/>
    </row>
    <row r="24" spans="2:6" x14ac:dyDescent="0.25">
      <c r="B24" s="124"/>
      <c r="C24" s="125"/>
      <c r="D24" s="125"/>
      <c r="E24" s="125"/>
      <c r="F24" s="126"/>
    </row>
    <row r="25" spans="2:6" x14ac:dyDescent="0.25">
      <c r="B25" s="124"/>
      <c r="C25" s="125"/>
      <c r="D25" s="125"/>
      <c r="E25" s="125"/>
      <c r="F25" s="126"/>
    </row>
    <row r="26" spans="2:6" ht="15.75" thickBot="1" x14ac:dyDescent="0.3">
      <c r="B26" s="120"/>
      <c r="C26" s="127"/>
      <c r="D26" s="127"/>
      <c r="E26" s="127"/>
      <c r="F26" s="121"/>
    </row>
  </sheetData>
  <sheetProtection algorithmName="SHA-512" hashValue="jGPOO5VehAuvPo/F4nFpRphnUboZxaOToWGqZHDzkcUGJXbC3Crg+wjagbFz4Bz1r9fI4oV8Y0Unio4OwnH5lQ==" saltValue="m2hswQH4IkSRyzAc4hq+S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A6A1-C3A3-4D56-97EB-2496B4CD69D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A3B097BC50D64693D20E955D9ACB7C" ma:contentTypeVersion="2" ma:contentTypeDescription="Crear nuevo documento." ma:contentTypeScope="" ma:versionID="2d4cd354d692d8bd035c611a30d6d61a">
  <xsd:schema xmlns:xsd="http://www.w3.org/2001/XMLSchema" xmlns:xs="http://www.w3.org/2001/XMLSchema" xmlns:p="http://schemas.microsoft.com/office/2006/metadata/properties" xmlns:ns2="3a118982-cfa8-420e-934b-bfbf5078544b" targetNamespace="http://schemas.microsoft.com/office/2006/metadata/properties" ma:root="true" ma:fieldsID="1afe51bfaaf62d8546defb7168513531" ns2:_="">
    <xsd:import namespace="3a118982-cfa8-420e-934b-bfbf5078544b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18982-cfa8-420e-934b-bfbf5078544b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A_x00f1_o" ma:index="9" nillable="true" ma:displayName="Año" ma:format="Dropdown" ma:internalName="A_x00f1_o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3a118982-cfa8-420e-934b-bfbf5078544b">2020</A_x00f1_o>
    <Formato xmlns="3a118982-cfa8-420e-934b-bfbf5078544b">/Style%20Library/Images/xls.svg</Formato>
  </documentManagement>
</p:properties>
</file>

<file path=customXml/itemProps1.xml><?xml version="1.0" encoding="utf-8"?>
<ds:datastoreItem xmlns:ds="http://schemas.openxmlformats.org/officeDocument/2006/customXml" ds:itemID="{76C0DF04-D497-452C-9160-0DBEBA84841D}"/>
</file>

<file path=customXml/itemProps2.xml><?xml version="1.0" encoding="utf-8"?>
<ds:datastoreItem xmlns:ds="http://schemas.openxmlformats.org/officeDocument/2006/customXml" ds:itemID="{3E1B0788-C19E-4296-9323-2E3FBABC92E3}"/>
</file>

<file path=customXml/itemProps3.xml><?xml version="1.0" encoding="utf-8"?>
<ds:datastoreItem xmlns:ds="http://schemas.openxmlformats.org/officeDocument/2006/customXml" ds:itemID="{4AC83A3F-49E8-425B-8F29-B5D109E6D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Hoja1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UNIDAD ADMINNISTRATIVA ESPECIAL DE AERONAUTICA CIVIL - REPORTE eKOGUI 1 semestre 2020</dc:title>
  <dc:creator>Juan Pablo Garzón Peraza</dc:creator>
  <cp:lastModifiedBy>daniel estevez</cp:lastModifiedBy>
  <dcterms:created xsi:type="dcterms:W3CDTF">2020-06-25T21:16:25Z</dcterms:created>
  <dcterms:modified xsi:type="dcterms:W3CDTF">2020-09-25T22:03:08Z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0x010100F8A3B097BC50D64693D20E955D9ACB7C</vt:lpwstr>
  </property>
</Properties>
</file>